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iscoDati/Contabilità/Commesse/"/>
    </mc:Choice>
  </mc:AlternateContent>
  <xr:revisionPtr revIDLastSave="0" documentId="13_ncr:1_{3BBC4749-9BDC-5E42-88C2-6B874B3FA653}" xr6:coauthVersionLast="47" xr6:coauthVersionMax="47" xr10:uidLastSave="{00000000-0000-0000-0000-000000000000}"/>
  <bookViews>
    <workbookView xWindow="1600" yWindow="2060" windowWidth="29940" windowHeight="14740" xr2:uid="{E8E61E50-FBB5-4BA7-8B41-EE9D72694E3B}"/>
  </bookViews>
  <sheets>
    <sheet name="Lista_commesse_1_2025" sheetId="1" r:id="rId1"/>
  </sheets>
  <definedNames>
    <definedName name="_xlnm._FilterDatabase" localSheetId="0" hidden="1">Lista_commesse_1_2025!$A$7:$I$79</definedName>
    <definedName name="_xlnm.Print_Titles" localSheetId="0">Lista_commesse_1_2025!$1:$7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B8" i="1"/>
  <c r="E8" i="1"/>
  <c r="B9" i="1"/>
  <c r="E9" i="1"/>
  <c r="B10" i="1"/>
  <c r="E10" i="1"/>
  <c r="B11" i="1"/>
  <c r="E11" i="1"/>
  <c r="B12" i="1"/>
  <c r="E12" i="1"/>
  <c r="B13" i="1"/>
  <c r="E13" i="1"/>
  <c r="B14" i="1"/>
  <c r="E14" i="1"/>
  <c r="B15" i="1"/>
  <c r="E15" i="1"/>
  <c r="B16" i="1"/>
  <c r="E16" i="1"/>
  <c r="B17" i="1"/>
  <c r="E17" i="1"/>
  <c r="B18" i="1"/>
  <c r="E18" i="1"/>
  <c r="B19" i="1"/>
  <c r="E19" i="1"/>
  <c r="B20" i="1"/>
  <c r="E20" i="1"/>
  <c r="B21" i="1"/>
  <c r="E21" i="1"/>
  <c r="B22" i="1"/>
  <c r="E22" i="1"/>
  <c r="B23" i="1"/>
  <c r="E23" i="1"/>
  <c r="B24" i="1"/>
  <c r="E24" i="1"/>
  <c r="B25" i="1"/>
  <c r="E25" i="1"/>
  <c r="B26" i="1"/>
  <c r="E26" i="1"/>
  <c r="B27" i="1"/>
  <c r="E27" i="1"/>
  <c r="B28" i="1"/>
  <c r="E28" i="1"/>
  <c r="B29" i="1"/>
  <c r="E29" i="1"/>
  <c r="B30" i="1"/>
  <c r="E30" i="1"/>
  <c r="B31" i="1"/>
  <c r="E31" i="1"/>
  <c r="B32" i="1"/>
  <c r="E32" i="1"/>
  <c r="B33" i="1"/>
  <c r="E33" i="1"/>
  <c r="B34" i="1"/>
  <c r="E34" i="1"/>
  <c r="B35" i="1"/>
  <c r="E35" i="1"/>
  <c r="B36" i="1"/>
  <c r="E36" i="1"/>
  <c r="B37" i="1"/>
  <c r="E37" i="1"/>
  <c r="B38" i="1"/>
  <c r="E38" i="1"/>
  <c r="B39" i="1"/>
  <c r="E39" i="1"/>
  <c r="B40" i="1"/>
  <c r="E40" i="1"/>
  <c r="B41" i="1"/>
  <c r="E41" i="1"/>
  <c r="B42" i="1"/>
  <c r="E42" i="1"/>
  <c r="B43" i="1"/>
  <c r="E43" i="1"/>
  <c r="B44" i="1"/>
  <c r="E44" i="1"/>
  <c r="B45" i="1"/>
  <c r="E45" i="1"/>
  <c r="B46" i="1"/>
  <c r="E46" i="1"/>
  <c r="B47" i="1"/>
  <c r="E47" i="1"/>
  <c r="B48" i="1"/>
  <c r="E48" i="1"/>
  <c r="B49" i="1"/>
  <c r="E49" i="1"/>
  <c r="B50" i="1"/>
  <c r="E50" i="1"/>
  <c r="B51" i="1"/>
  <c r="E51" i="1"/>
  <c r="B52" i="1"/>
  <c r="E52" i="1"/>
  <c r="B53" i="1"/>
  <c r="E53" i="1"/>
  <c r="B54" i="1"/>
  <c r="E54" i="1"/>
  <c r="B55" i="1"/>
  <c r="E55" i="1"/>
  <c r="B56" i="1"/>
  <c r="E56" i="1"/>
  <c r="B57" i="1"/>
  <c r="E57" i="1"/>
  <c r="B58" i="1"/>
  <c r="E58" i="1"/>
  <c r="B59" i="1"/>
  <c r="E59" i="1"/>
  <c r="B60" i="1"/>
  <c r="E60" i="1"/>
  <c r="B61" i="1"/>
  <c r="E61" i="1"/>
  <c r="B62" i="1"/>
  <c r="E62" i="1"/>
  <c r="B63" i="1"/>
  <c r="E63" i="1"/>
  <c r="B64" i="1"/>
  <c r="E64" i="1"/>
  <c r="B65" i="1"/>
  <c r="E65" i="1"/>
  <c r="B66" i="1"/>
  <c r="E66" i="1"/>
  <c r="B67" i="1"/>
  <c r="E67" i="1"/>
  <c r="B68" i="1"/>
  <c r="E68" i="1"/>
  <c r="B69" i="1"/>
  <c r="E69" i="1"/>
  <c r="B70" i="1"/>
  <c r="E70" i="1"/>
  <c r="B71" i="1"/>
  <c r="E71" i="1"/>
  <c r="B72" i="1"/>
  <c r="E72" i="1"/>
  <c r="B73" i="1"/>
  <c r="E73" i="1"/>
  <c r="B74" i="1"/>
  <c r="E74" i="1"/>
  <c r="B75" i="1"/>
  <c r="E75" i="1"/>
  <c r="B76" i="1"/>
  <c r="E76" i="1"/>
  <c r="B77" i="1"/>
  <c r="E77" i="1"/>
  <c r="B78" i="1"/>
  <c r="E78" i="1"/>
  <c r="B79" i="1"/>
  <c r="E79" i="1"/>
</calcChain>
</file>

<file path=xl/sharedStrings.xml><?xml version="1.0" encoding="utf-8"?>
<sst xmlns="http://schemas.openxmlformats.org/spreadsheetml/2006/main" count="377" uniqueCount="132">
  <si>
    <t xml:space="preserve">   </t>
  </si>
  <si>
    <t>Comune di: SANTANTONINO</t>
  </si>
  <si>
    <t>AGGIUDICATARIO</t>
  </si>
  <si>
    <t>Oggetto</t>
  </si>
  <si>
    <t>Tipo</t>
  </si>
  <si>
    <t>Procedura</t>
  </si>
  <si>
    <t>Genere</t>
  </si>
  <si>
    <t>Associazione Famiglie Diurne Sopraceneri  Locarno</t>
  </si>
  <si>
    <t>Servizio accudimento scolastico</t>
  </si>
  <si>
    <t>Incarico diretto</t>
  </si>
  <si>
    <t>art. 7 cpv. 3 lett. h)</t>
  </si>
  <si>
    <t>SERVIZI</t>
  </si>
  <si>
    <t>Azienda Multiservizi Bellinzona (AMB)  Bellinzona</t>
  </si>
  <si>
    <t>Illuminazione pubblica in via Cima Paese</t>
  </si>
  <si>
    <t>Aziende Multiservizi Bellinzona (AMB)  bellinzona</t>
  </si>
  <si>
    <t>Nuovo allacciamento elettrico del fonto n. 179 RFD, SI provvisoria</t>
  </si>
  <si>
    <t>Posta decorazioni natalizie</t>
  </si>
  <si>
    <t>Clima SA  Camorino</t>
  </si>
  <si>
    <t>Riparazione compressore e inverter climatizzazione Sala Multiuso</t>
  </si>
  <si>
    <t>Debrunner Acifer SA  Giubiasco</t>
  </si>
  <si>
    <t>Fornitura materiale per condotte AAP via Cima Paese</t>
  </si>
  <si>
    <t>FORNITURA</t>
  </si>
  <si>
    <t>Armature e tubi per sostituzione condotta AAP in via Stazione</t>
  </si>
  <si>
    <t>Fornitura per acquedotto via Boschetti</t>
  </si>
  <si>
    <t>Dick &amp; Figli SA  Lugano</t>
  </si>
  <si>
    <t>Fornitura arredo per nuova Sezione provvisoria SI</t>
  </si>
  <si>
    <t>Fornitura e posa di 2 xchermi interattivi per la SE</t>
  </si>
  <si>
    <t>ECSA  Chiasso</t>
  </si>
  <si>
    <t>Forniutra olio combustibile alla SI</t>
  </si>
  <si>
    <t>Eduard Steiner SA  Sementina</t>
  </si>
  <si>
    <t>Sistemazione difetti elettrici Casa comunale dopo controllo RASI</t>
  </si>
  <si>
    <t>Nuovo quadro principale per nuova sezione SI</t>
  </si>
  <si>
    <t>Opere da elettricista nella nuova sezione SI</t>
  </si>
  <si>
    <t>Messa in sicurezza alimentazione illuminazione pubblica via della Chiesa / vicolo Nonnella</t>
  </si>
  <si>
    <t>Ripristino illuminazione pubblica in vicolo Nonnella</t>
  </si>
  <si>
    <t>Illumanzione stradale via Cima Paese</t>
  </si>
  <si>
    <t>Elia Colombi SA  Bellinzona</t>
  </si>
  <si>
    <t>Fornitura materiale di cancelleria e materiale scolastico anno 2025-2026</t>
  </si>
  <si>
    <t>Francesco Allievi SA  Ascona</t>
  </si>
  <si>
    <t>Adeguamento alla LDis della fermata del BUS S. Antonino - LATI</t>
  </si>
  <si>
    <t>Prestazioni da ingegnere del traffico nuovo stabile SI e riassetto comparto scuole</t>
  </si>
  <si>
    <t>Progettazione adeguamento delle fermate bus Coop ed ex Manor in via Serrai</t>
  </si>
  <si>
    <t>Gennari Luca S. Antonino</t>
  </si>
  <si>
    <t>Opere da pittore presso la Scuola elementare</t>
  </si>
  <si>
    <t>G.F.Z Impianti (Suisse) Sagl  Chiasso</t>
  </si>
  <si>
    <t>Posa e ancoraggio serbatoi AAP</t>
  </si>
  <si>
    <t>Giosy Tours SA  Cadenazzo</t>
  </si>
  <si>
    <t>Trasporto scolastico SE 2025/2026</t>
  </si>
  <si>
    <t>Trasporto scolastico SM 2025/2026</t>
  </si>
  <si>
    <t>Giuseppe Ranieri &amp; Figlio  Iragna</t>
  </si>
  <si>
    <t>Opere per risanamento acustica presso la SM - posa pannelli fonoassorbenti</t>
  </si>
  <si>
    <t>Gruppo Sicurezza SA  Bironico</t>
  </si>
  <si>
    <t>Risanamento rilevatori di fumo impianto anti incendio al Centro comunale</t>
  </si>
  <si>
    <t>Guidotti Service Sagl  Sementina</t>
  </si>
  <si>
    <t>Taglio scarpate primaverile</t>
  </si>
  <si>
    <t>art. 7 cpv. 3 lett. g)</t>
  </si>
  <si>
    <t>Taglio scarpate autunnale</t>
  </si>
  <si>
    <t>Huber Matteo Lugano</t>
  </si>
  <si>
    <t>Adegumaneot del PR alla Legge sullo sviluppo territoria (Lst)</t>
  </si>
  <si>
    <t>Variante di PR in procedura semplificata - Nuovo posteggio pubblico al mappale n. 185 RFD</t>
  </si>
  <si>
    <t>ITS Servizio Canalizzazioni SA  Agno</t>
  </si>
  <si>
    <t>Pulizia caditoie stradali 2025</t>
  </si>
  <si>
    <t>Krausbeck Santagostino Margarido Sagl  Salorino</t>
  </si>
  <si>
    <t>Progettazione spazi esterni comparto della nuova SI</t>
  </si>
  <si>
    <t>Lucchini-Mariotta e associati  Faido</t>
  </si>
  <si>
    <t>Sistemazione strada comunale Paiardi - Cà Gilard  - allestimento progetto esecutivo tappa 1</t>
  </si>
  <si>
    <t>Mancini &amp; Marti SA  Bellinzona</t>
  </si>
  <si>
    <t>Opere di sottostruttura - Collegamnto condotte acque chiare incrocio via Essagra - via Industrie</t>
  </si>
  <si>
    <t>Opere da impresario costruttore - platea di appoggio sili carbone attivo e creazione di un posteggio per camion . per filtri PFAS</t>
  </si>
  <si>
    <t>Opere di sottostrutture e pavimentazione via Cima Paese (parte bassa)</t>
  </si>
  <si>
    <t>Opere di sottostruttura e paveimentazione via Malcantone</t>
  </si>
  <si>
    <t>Opere di sottostruttura per allacciamenti alla rete idrica e canalizzazioni del nuovo impianto di filtrazione PFAS in via Girono</t>
  </si>
  <si>
    <t>Allargamento stradale incriocio via Biaggini - via Cima Paese</t>
  </si>
  <si>
    <t>Intervento urgente per riparazione acquedotto comunale via del Tiglio - via della Posta</t>
  </si>
  <si>
    <t>MG Cucine Industriali SA  Lugano</t>
  </si>
  <si>
    <t>Fornitura e posa carrello per il trasporto dei pasti STW-2-0 per la 5a sezione SI</t>
  </si>
  <si>
    <t>Multirevisioni SA  Locarno</t>
  </si>
  <si>
    <t>Servizi di consulenza amministrativa e contabile per il 2025</t>
  </si>
  <si>
    <t>Officine Ghidoni SA  Riazzino</t>
  </si>
  <si>
    <t>Modifiche recinzione, fornitura e posa cancelli carrabili, alla SI</t>
  </si>
  <si>
    <t>Vari interventi presso la SI</t>
  </si>
  <si>
    <t>Fornitura e posa barriere protezione stradale con sistema TI 003 corrimano e rete diagonale</t>
  </si>
  <si>
    <t>Olos Atelier  Ligornetto</t>
  </si>
  <si>
    <t>Prestazioni di architettura del paesaggio per la nuova SI</t>
  </si>
  <si>
    <t>Opentech Sagl  S. Antonino</t>
  </si>
  <si>
    <t>Fornitura e posa impianti di climatizzazione alla SI provvisoria</t>
  </si>
  <si>
    <t>Fornitura di 3 nuovi cilmatizzatori per la Casa comunale</t>
  </si>
  <si>
    <t>PECB SA  Giubiasco</t>
  </si>
  <si>
    <t>Allestimento 6 loculi cinerari interrati doppi</t>
  </si>
  <si>
    <t>Sistemazione viale principale Cimitero di S. Antonino</t>
  </si>
  <si>
    <t>Risanamento campo sepolture singole a terra del cimitero di S. Antonino</t>
  </si>
  <si>
    <t>Risatec SA  S. Antonino</t>
  </si>
  <si>
    <t>Impermealizzazione SI</t>
  </si>
  <si>
    <t>Interventi aggiuntiv per il risanamento delle infiltrazioni alla SI</t>
  </si>
  <si>
    <t>Rivola Piero SA  Rivera</t>
  </si>
  <si>
    <t>Opere da sanitario nuova sezione SI</t>
  </si>
  <si>
    <t>Posa condotta AAP in via Cima Paese (parte bassa)</t>
  </si>
  <si>
    <t>Opere da sanitario per la sostituzione della condotta dell'acqua potabile in via Stazione</t>
  </si>
  <si>
    <t>Saisa SA  Osogna</t>
  </si>
  <si>
    <t>Opere di sottostruttura AAP e rifacimento manto stradale in vicolo Nonnella</t>
  </si>
  <si>
    <t>Spinelli SA  Massagno</t>
  </si>
  <si>
    <t>Nuove istallazioni per risanemtno centrale termica</t>
  </si>
  <si>
    <t>Stebatec Züllig AG  Brügg</t>
  </si>
  <si>
    <t>Sostituzione impianto trasmissione dati AAP - rinnovo di strutture esterne</t>
  </si>
  <si>
    <t>Intervento di riparazione urgente per guasto impianti via Cà Gilard</t>
  </si>
  <si>
    <t>Studio ingegneria Sciarini  Vira (Gambarogno)</t>
  </si>
  <si>
    <t>Fase 2 - Progetto esecutivo e DL - sostituzione canalizzazione acque meteoriche via Stazione</t>
  </si>
  <si>
    <t>Tecnomedia SA  Bellinzona</t>
  </si>
  <si>
    <t>Sostituzione telo di proiezione con telo motorizzato elettrico per SM</t>
  </si>
  <si>
    <t>Fornitura e posa di un proiettore laser per la nostra SM</t>
  </si>
  <si>
    <t>Fornitura nuovo impianto audio/video in SM</t>
  </si>
  <si>
    <t>Telectra SA  Cadenazzo</t>
  </si>
  <si>
    <t>Fornitura quadro elettrico sottopassaggio stradale FFS</t>
  </si>
  <si>
    <t>TopPac AG  Schwarzenbach</t>
  </si>
  <si>
    <t>Delibera fornitura sacchi dei rifiuti ufficiali</t>
  </si>
  <si>
    <t>Fornitura sacchi dei rifiuti ufficiali rossi per il 2026</t>
  </si>
  <si>
    <t>Fornitura sacchi ufficiali</t>
  </si>
  <si>
    <t>Visani Rusconi Talleri SA  Taverne</t>
  </si>
  <si>
    <t>Consulenza e progettazione della nuova centrale termica del Centro Comunale</t>
  </si>
  <si>
    <t>Progettazione potenziamento centrale termica Centro comuanle e nuova rete telematica per allacciare la nuova SI</t>
  </si>
  <si>
    <t>Importo deliberato/previsto</t>
  </si>
  <si>
    <t>IVA inclusa</t>
  </si>
  <si>
    <t>IVA esclusa</t>
  </si>
  <si>
    <t>EDILE SECONDARIO</t>
  </si>
  <si>
    <t>EDILE PRIMARIO</t>
  </si>
  <si>
    <t>Data e risoluzione municipale:</t>
  </si>
  <si>
    <t>Data</t>
  </si>
  <si>
    <t>RM o</t>
  </si>
  <si>
    <t>incarico da</t>
  </si>
  <si>
    <t>N.</t>
  </si>
  <si>
    <t>S. Antonino, 15.06.2026 - RM 1040</t>
  </si>
  <si>
    <t>Data Pubblicazione della lista :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</si>
</sst>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13" xfId="0" applyFont="1" applyBorder="1"/>
    <xf numFmtId="0" fontId="21" fillId="0" borderId="14" xfId="0" applyFont="1" applyBorder="1"/>
    <xf numFmtId="0" fontId="21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21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1E64-1429-473A-9AAF-41D71D1E9A3D}">
  <dimension ref="A1:J79"/>
  <sheetViews>
    <sheetView tabSelected="1" zoomScale="180" zoomScaleNormal="180" workbookViewId="0">
      <selection activeCell="A2" sqref="A2"/>
    </sheetView>
  </sheetViews>
  <sheetFormatPr baseColWidth="10" defaultColWidth="8.83203125" defaultRowHeight="15" x14ac:dyDescent="0.2"/>
  <cols>
    <col min="1" max="1" width="39" customWidth="1"/>
    <col min="2" max="2" width="10.83203125" customWidth="1"/>
    <col min="3" max="3" width="54.83203125" customWidth="1"/>
    <col min="4" max="4" width="12" style="2" customWidth="1"/>
    <col min="5" max="5" width="10.83203125" style="2" customWidth="1"/>
    <col min="6" max="6" width="14.1640625" customWidth="1"/>
    <col min="7" max="7" width="15.33203125" customWidth="1"/>
    <col min="8" max="8" width="17.83203125" customWidth="1"/>
    <col min="9" max="10" width="13.33203125" customWidth="1"/>
  </cols>
  <sheetData>
    <row r="1" spans="1:10" x14ac:dyDescent="0.2">
      <c r="A1" t="s">
        <v>131</v>
      </c>
    </row>
    <row r="2" spans="1:10" x14ac:dyDescent="0.2">
      <c r="A2" t="s">
        <v>0</v>
      </c>
    </row>
    <row r="3" spans="1:10" s="1" customFormat="1" ht="22" x14ac:dyDescent="0.3">
      <c r="A3" s="1" t="s">
        <v>1</v>
      </c>
      <c r="D3" s="3"/>
      <c r="E3" s="3"/>
    </row>
    <row r="4" spans="1:10" s="4" customFormat="1" ht="16" x14ac:dyDescent="0.2">
      <c r="A4" s="4" t="s">
        <v>125</v>
      </c>
      <c r="B4" s="20" t="s">
        <v>130</v>
      </c>
      <c r="D4" s="5"/>
      <c r="E4" s="5"/>
    </row>
    <row r="5" spans="1:10" s="1" customFormat="1" ht="23" thickBot="1" x14ac:dyDescent="0.35">
      <c r="D5" s="3"/>
      <c r="E5" s="3"/>
    </row>
    <row r="6" spans="1:10" x14ac:dyDescent="0.2">
      <c r="A6" s="6"/>
      <c r="B6" s="7"/>
      <c r="C6" s="7"/>
      <c r="D6" s="8"/>
      <c r="E6" s="8" t="s">
        <v>127</v>
      </c>
      <c r="F6" s="7"/>
      <c r="G6" s="7"/>
      <c r="H6" s="7"/>
      <c r="I6" s="18" t="s">
        <v>120</v>
      </c>
      <c r="J6" s="19"/>
    </row>
    <row r="7" spans="1:10" ht="16" thickBot="1" x14ac:dyDescent="0.25">
      <c r="A7" s="9" t="s">
        <v>2</v>
      </c>
      <c r="B7" s="10" t="s">
        <v>129</v>
      </c>
      <c r="C7" s="10" t="s">
        <v>3</v>
      </c>
      <c r="D7" s="11" t="s">
        <v>126</v>
      </c>
      <c r="E7" s="11" t="s">
        <v>128</v>
      </c>
      <c r="F7" s="10" t="s">
        <v>4</v>
      </c>
      <c r="G7" s="10" t="s">
        <v>5</v>
      </c>
      <c r="H7" s="10" t="s">
        <v>6</v>
      </c>
      <c r="I7" s="12" t="s">
        <v>121</v>
      </c>
      <c r="J7" s="13" t="s">
        <v>122</v>
      </c>
    </row>
    <row r="8" spans="1:10" x14ac:dyDescent="0.2">
      <c r="A8" s="14" t="s">
        <v>7</v>
      </c>
      <c r="B8" s="14" t="str">
        <f>"2025.0001"</f>
        <v>2025.0001</v>
      </c>
      <c r="C8" s="14" t="s">
        <v>8</v>
      </c>
      <c r="D8" s="15">
        <v>45719</v>
      </c>
      <c r="E8" s="16" t="str">
        <f>"354"</f>
        <v>354</v>
      </c>
      <c r="F8" s="14" t="s">
        <v>9</v>
      </c>
      <c r="G8" s="14" t="s">
        <v>10</v>
      </c>
      <c r="H8" s="14" t="s">
        <v>11</v>
      </c>
      <c r="I8" s="17">
        <v>9880</v>
      </c>
      <c r="J8" s="17">
        <f>ROUND(I8*100/108.1/5,2)*5</f>
        <v>9139.7000000000007</v>
      </c>
    </row>
    <row r="9" spans="1:10" x14ac:dyDescent="0.2">
      <c r="A9" s="14" t="s">
        <v>12</v>
      </c>
      <c r="B9" s="14" t="str">
        <f>"2025.0002"</f>
        <v>2025.0002</v>
      </c>
      <c r="C9" s="14" t="s">
        <v>13</v>
      </c>
      <c r="D9" s="15">
        <v>45818</v>
      </c>
      <c r="E9" s="16" t="str">
        <f>"940"</f>
        <v>940</v>
      </c>
      <c r="F9" s="14" t="s">
        <v>9</v>
      </c>
      <c r="G9" s="14" t="s">
        <v>10</v>
      </c>
      <c r="H9" s="14" t="s">
        <v>123</v>
      </c>
      <c r="I9" s="17">
        <v>49285.440000000002</v>
      </c>
      <c r="J9" s="17">
        <f t="shared" ref="J9:J72" si="0">ROUND(I9*100/108.1/5,2)*5</f>
        <v>45592.45</v>
      </c>
    </row>
    <row r="10" spans="1:10" x14ac:dyDescent="0.2">
      <c r="A10" s="14" t="s">
        <v>14</v>
      </c>
      <c r="B10" s="14" t="str">
        <f>"2025.0003"</f>
        <v>2025.0003</v>
      </c>
      <c r="C10" s="14" t="s">
        <v>15</v>
      </c>
      <c r="D10" s="15">
        <v>45852</v>
      </c>
      <c r="E10" s="16" t="str">
        <f>"1123"</f>
        <v>1123</v>
      </c>
      <c r="F10" s="14" t="s">
        <v>9</v>
      </c>
      <c r="G10" s="14" t="s">
        <v>10</v>
      </c>
      <c r="H10" s="14" t="s">
        <v>123</v>
      </c>
      <c r="I10" s="17">
        <v>17210.599999999999</v>
      </c>
      <c r="J10" s="17">
        <f t="shared" si="0"/>
        <v>15921</v>
      </c>
    </row>
    <row r="11" spans="1:10" x14ac:dyDescent="0.2">
      <c r="A11" s="14" t="s">
        <v>14</v>
      </c>
      <c r="B11" s="14" t="str">
        <f>"2025.0004"</f>
        <v>2025.0004</v>
      </c>
      <c r="C11" s="14" t="s">
        <v>16</v>
      </c>
      <c r="D11" s="15">
        <v>45978</v>
      </c>
      <c r="E11" s="16" t="str">
        <f>"1810"</f>
        <v>1810</v>
      </c>
      <c r="F11" s="14" t="s">
        <v>9</v>
      </c>
      <c r="G11" s="14" t="s">
        <v>10</v>
      </c>
      <c r="H11" s="14" t="s">
        <v>11</v>
      </c>
      <c r="I11" s="17">
        <v>15249.34</v>
      </c>
      <c r="J11" s="17">
        <f t="shared" si="0"/>
        <v>14106.7</v>
      </c>
    </row>
    <row r="12" spans="1:10" x14ac:dyDescent="0.2">
      <c r="A12" s="14" t="s">
        <v>17</v>
      </c>
      <c r="B12" s="14" t="str">
        <f>"2025.0005"</f>
        <v>2025.0005</v>
      </c>
      <c r="C12" s="14" t="s">
        <v>18</v>
      </c>
      <c r="D12" s="15">
        <v>45915</v>
      </c>
      <c r="E12" s="16" t="str">
        <f>"1423"</f>
        <v>1423</v>
      </c>
      <c r="F12" s="14" t="s">
        <v>9</v>
      </c>
      <c r="G12" s="14" t="s">
        <v>10</v>
      </c>
      <c r="H12" s="14" t="s">
        <v>11</v>
      </c>
      <c r="I12" s="17">
        <v>6492.95</v>
      </c>
      <c r="J12" s="17">
        <f t="shared" si="0"/>
        <v>6006.45</v>
      </c>
    </row>
    <row r="13" spans="1:10" x14ac:dyDescent="0.2">
      <c r="A13" s="14" t="s">
        <v>19</v>
      </c>
      <c r="B13" s="14" t="str">
        <f>"2025.0006"</f>
        <v>2025.0006</v>
      </c>
      <c r="C13" s="14" t="s">
        <v>20</v>
      </c>
      <c r="D13" s="15">
        <v>45818</v>
      </c>
      <c r="E13" s="16" t="str">
        <f>"940"</f>
        <v>940</v>
      </c>
      <c r="F13" s="14" t="s">
        <v>9</v>
      </c>
      <c r="G13" s="14" t="s">
        <v>10</v>
      </c>
      <c r="H13" s="14" t="s">
        <v>21</v>
      </c>
      <c r="I13" s="17">
        <v>19180.25</v>
      </c>
      <c r="J13" s="17">
        <f t="shared" si="0"/>
        <v>17743.05</v>
      </c>
    </row>
    <row r="14" spans="1:10" x14ac:dyDescent="0.2">
      <c r="A14" s="14" t="s">
        <v>19</v>
      </c>
      <c r="B14" s="14" t="str">
        <f>"2025.0007"</f>
        <v>2025.0007</v>
      </c>
      <c r="C14" s="14" t="s">
        <v>22</v>
      </c>
      <c r="D14" s="15">
        <v>45936</v>
      </c>
      <c r="E14" s="16" t="str">
        <f>"1568"</f>
        <v>1568</v>
      </c>
      <c r="F14" s="14" t="s">
        <v>9</v>
      </c>
      <c r="G14" s="14" t="s">
        <v>10</v>
      </c>
      <c r="H14" s="14" t="s">
        <v>21</v>
      </c>
      <c r="I14" s="17">
        <v>14019.05</v>
      </c>
      <c r="J14" s="17">
        <f t="shared" si="0"/>
        <v>12968.599999999999</v>
      </c>
    </row>
    <row r="15" spans="1:10" x14ac:dyDescent="0.2">
      <c r="A15" s="14" t="s">
        <v>19</v>
      </c>
      <c r="B15" s="14" t="str">
        <f>"2025.0064"</f>
        <v>2025.0064</v>
      </c>
      <c r="C15" s="14" t="s">
        <v>23</v>
      </c>
      <c r="D15" s="15">
        <v>45958</v>
      </c>
      <c r="E15" s="16" t="str">
        <f>"UTC"</f>
        <v>UTC</v>
      </c>
      <c r="F15" s="14" t="s">
        <v>9</v>
      </c>
      <c r="G15" s="14" t="s">
        <v>10</v>
      </c>
      <c r="H15" s="14" t="s">
        <v>21</v>
      </c>
      <c r="I15" s="17">
        <v>28740.9</v>
      </c>
      <c r="J15" s="17">
        <f t="shared" si="0"/>
        <v>26587.350000000002</v>
      </c>
    </row>
    <row r="16" spans="1:10" x14ac:dyDescent="0.2">
      <c r="A16" s="14" t="s">
        <v>24</v>
      </c>
      <c r="B16" s="14" t="str">
        <f>"2025.0008"</f>
        <v>2025.0008</v>
      </c>
      <c r="C16" s="14" t="s">
        <v>25</v>
      </c>
      <c r="D16" s="15">
        <v>45824</v>
      </c>
      <c r="E16" s="16" t="str">
        <f>"962"</f>
        <v>962</v>
      </c>
      <c r="F16" s="14" t="s">
        <v>9</v>
      </c>
      <c r="G16" s="14" t="s">
        <v>10</v>
      </c>
      <c r="H16" s="14" t="s">
        <v>21</v>
      </c>
      <c r="I16" s="17">
        <v>20475.95</v>
      </c>
      <c r="J16" s="17">
        <f t="shared" si="0"/>
        <v>18941.650000000001</v>
      </c>
    </row>
    <row r="17" spans="1:10" x14ac:dyDescent="0.2">
      <c r="A17" s="14" t="s">
        <v>24</v>
      </c>
      <c r="B17" s="14" t="str">
        <f>"2025.0009"</f>
        <v>2025.0009</v>
      </c>
      <c r="C17" s="14" t="s">
        <v>26</v>
      </c>
      <c r="D17" s="15">
        <v>45824</v>
      </c>
      <c r="E17" s="16" t="str">
        <f>"962"</f>
        <v>962</v>
      </c>
      <c r="F17" s="14" t="s">
        <v>9</v>
      </c>
      <c r="G17" s="14" t="s">
        <v>10</v>
      </c>
      <c r="H17" s="14" t="s">
        <v>21</v>
      </c>
      <c r="I17" s="17">
        <v>8104.3</v>
      </c>
      <c r="J17" s="17">
        <f t="shared" si="0"/>
        <v>7497.05</v>
      </c>
    </row>
    <row r="18" spans="1:10" x14ac:dyDescent="0.2">
      <c r="A18" s="14" t="s">
        <v>27</v>
      </c>
      <c r="B18" s="14" t="str">
        <f>"2025.0065"</f>
        <v>2025.0065</v>
      </c>
      <c r="C18" s="14" t="s">
        <v>28</v>
      </c>
      <c r="D18" s="15">
        <v>45922</v>
      </c>
      <c r="E18" s="16" t="str">
        <f>"1463"</f>
        <v>1463</v>
      </c>
      <c r="F18" s="14" t="s">
        <v>9</v>
      </c>
      <c r="G18" s="14" t="s">
        <v>10</v>
      </c>
      <c r="H18" s="14" t="s">
        <v>21</v>
      </c>
      <c r="I18" s="17">
        <v>13276.7</v>
      </c>
      <c r="J18" s="17">
        <f t="shared" si="0"/>
        <v>12281.849999999999</v>
      </c>
    </row>
    <row r="19" spans="1:10" x14ac:dyDescent="0.2">
      <c r="A19" s="14" t="s">
        <v>29</v>
      </c>
      <c r="B19" s="14" t="str">
        <f>"2025.0010"</f>
        <v>2025.0010</v>
      </c>
      <c r="C19" s="14" t="s">
        <v>30</v>
      </c>
      <c r="D19" s="15">
        <v>45747</v>
      </c>
      <c r="E19" s="16" t="str">
        <f>"499"</f>
        <v>499</v>
      </c>
      <c r="F19" s="14" t="s">
        <v>9</v>
      </c>
      <c r="G19" s="14" t="s">
        <v>10</v>
      </c>
      <c r="H19" s="14" t="s">
        <v>123</v>
      </c>
      <c r="I19" s="17">
        <v>12245.7</v>
      </c>
      <c r="J19" s="17">
        <f t="shared" si="0"/>
        <v>11328.099999999999</v>
      </c>
    </row>
    <row r="20" spans="1:10" x14ac:dyDescent="0.2">
      <c r="A20" s="14" t="s">
        <v>29</v>
      </c>
      <c r="B20" s="14" t="str">
        <f>"2025.0011"</f>
        <v>2025.0011</v>
      </c>
      <c r="C20" s="14" t="s">
        <v>31</v>
      </c>
      <c r="D20" s="15">
        <v>45754</v>
      </c>
      <c r="E20" s="16" t="str">
        <f>"546"</f>
        <v>546</v>
      </c>
      <c r="F20" s="14" t="s">
        <v>9</v>
      </c>
      <c r="G20" s="14" t="s">
        <v>10</v>
      </c>
      <c r="H20" s="14" t="s">
        <v>123</v>
      </c>
      <c r="I20" s="17">
        <v>5660.6</v>
      </c>
      <c r="J20" s="17">
        <f t="shared" si="0"/>
        <v>5236.45</v>
      </c>
    </row>
    <row r="21" spans="1:10" x14ac:dyDescent="0.2">
      <c r="A21" s="14" t="s">
        <v>29</v>
      </c>
      <c r="B21" s="14" t="str">
        <f>"2025.0012"</f>
        <v>2025.0012</v>
      </c>
      <c r="C21" s="14" t="s">
        <v>32</v>
      </c>
      <c r="D21" s="15">
        <v>45754</v>
      </c>
      <c r="E21" s="16" t="str">
        <f>"546"</f>
        <v>546</v>
      </c>
      <c r="F21" s="14" t="s">
        <v>9</v>
      </c>
      <c r="G21" s="14" t="s">
        <v>10</v>
      </c>
      <c r="H21" s="14" t="s">
        <v>123</v>
      </c>
      <c r="I21" s="17">
        <v>17699.75</v>
      </c>
      <c r="J21" s="17">
        <f t="shared" si="0"/>
        <v>16373.5</v>
      </c>
    </row>
    <row r="22" spans="1:10" x14ac:dyDescent="0.2">
      <c r="A22" s="14" t="s">
        <v>29</v>
      </c>
      <c r="B22" s="14" t="str">
        <f>"2025.0013"</f>
        <v>2025.0013</v>
      </c>
      <c r="C22" s="14" t="s">
        <v>33</v>
      </c>
      <c r="D22" s="15">
        <v>45761</v>
      </c>
      <c r="E22" s="16" t="str">
        <f>"598"</f>
        <v>598</v>
      </c>
      <c r="F22" s="14" t="s">
        <v>9</v>
      </c>
      <c r="G22" s="14" t="s">
        <v>10</v>
      </c>
      <c r="H22" s="14" t="s">
        <v>123</v>
      </c>
      <c r="I22" s="17">
        <v>9143.65</v>
      </c>
      <c r="J22" s="17">
        <f t="shared" si="0"/>
        <v>8458.5</v>
      </c>
    </row>
    <row r="23" spans="1:10" x14ac:dyDescent="0.2">
      <c r="A23" s="14" t="s">
        <v>29</v>
      </c>
      <c r="B23" s="14" t="str">
        <f>"2025.0014"</f>
        <v>2025.0014</v>
      </c>
      <c r="C23" s="14" t="s">
        <v>34</v>
      </c>
      <c r="D23" s="15">
        <v>45838</v>
      </c>
      <c r="E23" s="16" t="str">
        <f>"1060"</f>
        <v>1060</v>
      </c>
      <c r="F23" s="14" t="s">
        <v>9</v>
      </c>
      <c r="G23" s="14" t="s">
        <v>10</v>
      </c>
      <c r="H23" s="14" t="s">
        <v>123</v>
      </c>
      <c r="I23" s="17">
        <v>9748.4500000000007</v>
      </c>
      <c r="J23" s="17">
        <f t="shared" si="0"/>
        <v>9018</v>
      </c>
    </row>
    <row r="24" spans="1:10" x14ac:dyDescent="0.2">
      <c r="A24" s="14" t="s">
        <v>29</v>
      </c>
      <c r="B24" s="14" t="str">
        <f>"2025.0069"</f>
        <v>2025.0069</v>
      </c>
      <c r="C24" s="14" t="s">
        <v>35</v>
      </c>
      <c r="D24" s="15">
        <v>45705</v>
      </c>
      <c r="E24" s="16" t="str">
        <f>"UTC"</f>
        <v>UTC</v>
      </c>
      <c r="F24" s="14" t="s">
        <v>9</v>
      </c>
      <c r="G24" s="14" t="s">
        <v>10</v>
      </c>
      <c r="H24" s="14" t="s">
        <v>123</v>
      </c>
      <c r="I24" s="17">
        <v>7317.3</v>
      </c>
      <c r="J24" s="17">
        <f t="shared" si="0"/>
        <v>6769</v>
      </c>
    </row>
    <row r="25" spans="1:10" x14ac:dyDescent="0.2">
      <c r="A25" s="14" t="s">
        <v>36</v>
      </c>
      <c r="B25" s="14" t="str">
        <f>"2025.0015"</f>
        <v>2025.0015</v>
      </c>
      <c r="C25" s="14" t="s">
        <v>37</v>
      </c>
      <c r="D25" s="15">
        <v>45775</v>
      </c>
      <c r="E25" s="16" t="str">
        <f>"668"</f>
        <v>668</v>
      </c>
      <c r="F25" s="14" t="s">
        <v>9</v>
      </c>
      <c r="G25" s="14" t="s">
        <v>10</v>
      </c>
      <c r="H25" s="14" t="s">
        <v>21</v>
      </c>
      <c r="I25" s="17">
        <v>15300</v>
      </c>
      <c r="J25" s="17">
        <f t="shared" si="0"/>
        <v>14153.55</v>
      </c>
    </row>
    <row r="26" spans="1:10" x14ac:dyDescent="0.2">
      <c r="A26" s="14" t="s">
        <v>38</v>
      </c>
      <c r="B26" s="14" t="str">
        <f>"2025.0016"</f>
        <v>2025.0016</v>
      </c>
      <c r="C26" s="14" t="s">
        <v>39</v>
      </c>
      <c r="D26" s="15">
        <v>45726</v>
      </c>
      <c r="E26" s="16" t="str">
        <f>"399"</f>
        <v>399</v>
      </c>
      <c r="F26" s="14" t="s">
        <v>9</v>
      </c>
      <c r="G26" s="14" t="s">
        <v>10</v>
      </c>
      <c r="H26" s="14" t="s">
        <v>11</v>
      </c>
      <c r="I26" s="17">
        <v>9363.5</v>
      </c>
      <c r="J26" s="17">
        <f t="shared" si="0"/>
        <v>8661.9000000000015</v>
      </c>
    </row>
    <row r="27" spans="1:10" x14ac:dyDescent="0.2">
      <c r="A27" s="14" t="s">
        <v>38</v>
      </c>
      <c r="B27" s="14" t="str">
        <f>"2025.0017"</f>
        <v>2025.0017</v>
      </c>
      <c r="C27" s="14" t="s">
        <v>40</v>
      </c>
      <c r="D27" s="15">
        <v>45747</v>
      </c>
      <c r="E27" s="16" t="str">
        <f>"504"</f>
        <v>504</v>
      </c>
      <c r="F27" s="14" t="s">
        <v>9</v>
      </c>
      <c r="G27" s="14" t="s">
        <v>10</v>
      </c>
      <c r="H27" s="14" t="s">
        <v>11</v>
      </c>
      <c r="I27" s="17">
        <v>36420</v>
      </c>
      <c r="J27" s="17">
        <f t="shared" si="0"/>
        <v>33691.050000000003</v>
      </c>
    </row>
    <row r="28" spans="1:10" x14ac:dyDescent="0.2">
      <c r="A28" s="14" t="s">
        <v>38</v>
      </c>
      <c r="B28" s="14" t="str">
        <f>"2025.0018"</f>
        <v>2025.0018</v>
      </c>
      <c r="C28" s="14" t="s">
        <v>41</v>
      </c>
      <c r="D28" s="15">
        <v>45915</v>
      </c>
      <c r="E28" s="16" t="str">
        <f>"1444"</f>
        <v>1444</v>
      </c>
      <c r="F28" s="14" t="s">
        <v>9</v>
      </c>
      <c r="G28" s="14" t="s">
        <v>10</v>
      </c>
      <c r="H28" s="14" t="s">
        <v>11</v>
      </c>
      <c r="I28" s="17">
        <v>15422.2</v>
      </c>
      <c r="J28" s="17">
        <f t="shared" si="0"/>
        <v>14266.6</v>
      </c>
    </row>
    <row r="29" spans="1:10" x14ac:dyDescent="0.2">
      <c r="A29" s="14" t="s">
        <v>42</v>
      </c>
      <c r="B29" s="14" t="str">
        <f>"2025.0020"</f>
        <v>2025.0020</v>
      </c>
      <c r="C29" s="14" t="s">
        <v>43</v>
      </c>
      <c r="D29" s="15">
        <v>45866</v>
      </c>
      <c r="E29" s="16" t="str">
        <f>"1194"</f>
        <v>1194</v>
      </c>
      <c r="F29" s="14" t="s">
        <v>9</v>
      </c>
      <c r="G29" s="14" t="s">
        <v>10</v>
      </c>
      <c r="H29" s="14" t="s">
        <v>123</v>
      </c>
      <c r="I29" s="17">
        <v>5402.5</v>
      </c>
      <c r="J29" s="17">
        <f t="shared" si="0"/>
        <v>4997.7</v>
      </c>
    </row>
    <row r="30" spans="1:10" x14ac:dyDescent="0.2">
      <c r="A30" s="14" t="s">
        <v>44</v>
      </c>
      <c r="B30" s="14" t="str">
        <f>"2025.0019"</f>
        <v>2025.0019</v>
      </c>
      <c r="C30" s="14" t="s">
        <v>45</v>
      </c>
      <c r="D30" s="15">
        <v>45845</v>
      </c>
      <c r="E30" s="16" t="str">
        <f>"1101"</f>
        <v>1101</v>
      </c>
      <c r="F30" s="14" t="s">
        <v>9</v>
      </c>
      <c r="G30" s="14" t="s">
        <v>10</v>
      </c>
      <c r="H30" s="14" t="s">
        <v>124</v>
      </c>
      <c r="I30" s="17">
        <v>43570</v>
      </c>
      <c r="J30" s="17">
        <f t="shared" si="0"/>
        <v>40305.25</v>
      </c>
    </row>
    <row r="31" spans="1:10" x14ac:dyDescent="0.2">
      <c r="A31" s="14" t="s">
        <v>46</v>
      </c>
      <c r="B31" s="14" t="str">
        <f>"2025.0066"</f>
        <v>2025.0066</v>
      </c>
      <c r="C31" s="14" t="s">
        <v>47</v>
      </c>
      <c r="D31" s="15">
        <v>45786</v>
      </c>
      <c r="E31" s="16" t="str">
        <f>"717"</f>
        <v>717</v>
      </c>
      <c r="F31" s="14" t="s">
        <v>9</v>
      </c>
      <c r="G31" s="14" t="s">
        <v>10</v>
      </c>
      <c r="H31" s="14" t="s">
        <v>11</v>
      </c>
      <c r="I31" s="17">
        <v>34464</v>
      </c>
      <c r="J31" s="17">
        <f t="shared" si="0"/>
        <v>31881.599999999999</v>
      </c>
    </row>
    <row r="32" spans="1:10" x14ac:dyDescent="0.2">
      <c r="A32" s="14" t="s">
        <v>46</v>
      </c>
      <c r="B32" s="14" t="str">
        <f>"2025.0067"</f>
        <v>2025.0067</v>
      </c>
      <c r="C32" s="14" t="s">
        <v>48</v>
      </c>
      <c r="D32" s="15">
        <v>45786</v>
      </c>
      <c r="E32" s="16" t="str">
        <f>"717"</f>
        <v>717</v>
      </c>
      <c r="F32" s="14" t="s">
        <v>9</v>
      </c>
      <c r="G32" s="14" t="s">
        <v>10</v>
      </c>
      <c r="H32" s="14" t="s">
        <v>11</v>
      </c>
      <c r="I32" s="17">
        <v>8616</v>
      </c>
      <c r="J32" s="17">
        <f t="shared" si="0"/>
        <v>7970.4</v>
      </c>
    </row>
    <row r="33" spans="1:10" x14ac:dyDescent="0.2">
      <c r="A33" s="14" t="s">
        <v>49</v>
      </c>
      <c r="B33" s="14" t="str">
        <f>"2025.0021"</f>
        <v>2025.0021</v>
      </c>
      <c r="C33" s="14" t="s">
        <v>50</v>
      </c>
      <c r="D33" s="15">
        <v>45950</v>
      </c>
      <c r="E33" s="16" t="str">
        <f>"1635"</f>
        <v>1635</v>
      </c>
      <c r="F33" s="14" t="s">
        <v>9</v>
      </c>
      <c r="G33" s="14" t="s">
        <v>10</v>
      </c>
      <c r="H33" s="14" t="s">
        <v>21</v>
      </c>
      <c r="I33" s="17">
        <v>17145.650000000001</v>
      </c>
      <c r="J33" s="17">
        <f t="shared" si="0"/>
        <v>15860.9</v>
      </c>
    </row>
    <row r="34" spans="1:10" x14ac:dyDescent="0.2">
      <c r="A34" s="14" t="s">
        <v>51</v>
      </c>
      <c r="B34" s="14" t="str">
        <f>"2025.0022"</f>
        <v>2025.0022</v>
      </c>
      <c r="C34" s="14" t="s">
        <v>52</v>
      </c>
      <c r="D34" s="15">
        <v>45754</v>
      </c>
      <c r="E34" s="16" t="str">
        <f>"548"</f>
        <v>548</v>
      </c>
      <c r="F34" s="14" t="s">
        <v>9</v>
      </c>
      <c r="G34" s="14" t="s">
        <v>10</v>
      </c>
      <c r="H34" s="14" t="s">
        <v>21</v>
      </c>
      <c r="I34" s="17">
        <v>8340.1</v>
      </c>
      <c r="J34" s="17">
        <f t="shared" si="0"/>
        <v>7715.15</v>
      </c>
    </row>
    <row r="35" spans="1:10" x14ac:dyDescent="0.2">
      <c r="A35" s="14" t="s">
        <v>53</v>
      </c>
      <c r="B35" s="14" t="str">
        <f>"2025.0071"</f>
        <v>2025.0071</v>
      </c>
      <c r="C35" s="14" t="s">
        <v>54</v>
      </c>
      <c r="D35" s="15">
        <v>45805</v>
      </c>
      <c r="E35" s="16" t="str">
        <f>"UTC"</f>
        <v>UTC</v>
      </c>
      <c r="F35" s="14" t="s">
        <v>9</v>
      </c>
      <c r="G35" s="14" t="s">
        <v>55</v>
      </c>
      <c r="H35" s="14" t="s">
        <v>11</v>
      </c>
      <c r="I35" s="17">
        <v>13438.75</v>
      </c>
      <c r="J35" s="17">
        <f t="shared" si="0"/>
        <v>12431.800000000001</v>
      </c>
    </row>
    <row r="36" spans="1:10" x14ac:dyDescent="0.2">
      <c r="A36" s="14" t="s">
        <v>53</v>
      </c>
      <c r="B36" s="14" t="str">
        <f>"2025.0072"</f>
        <v>2025.0072</v>
      </c>
      <c r="C36" s="14" t="s">
        <v>56</v>
      </c>
      <c r="D36" s="15">
        <v>45918</v>
      </c>
      <c r="E36" s="16" t="str">
        <f>"UTC"</f>
        <v>UTC</v>
      </c>
      <c r="F36" s="14" t="s">
        <v>9</v>
      </c>
      <c r="G36" s="14" t="s">
        <v>10</v>
      </c>
      <c r="H36" s="14" t="s">
        <v>11</v>
      </c>
      <c r="I36" s="17">
        <v>16019.9</v>
      </c>
      <c r="J36" s="17">
        <f t="shared" si="0"/>
        <v>14819.5</v>
      </c>
    </row>
    <row r="37" spans="1:10" x14ac:dyDescent="0.2">
      <c r="A37" s="14" t="s">
        <v>57</v>
      </c>
      <c r="B37" s="14" t="str">
        <f>"2025.0023"</f>
        <v>2025.0023</v>
      </c>
      <c r="C37" s="14" t="s">
        <v>58</v>
      </c>
      <c r="D37" s="15">
        <v>45705</v>
      </c>
      <c r="E37" s="16" t="str">
        <f>"253"</f>
        <v>253</v>
      </c>
      <c r="F37" s="14" t="s">
        <v>9</v>
      </c>
      <c r="G37" s="14" t="s">
        <v>10</v>
      </c>
      <c r="H37" s="14" t="s">
        <v>11</v>
      </c>
      <c r="I37" s="17">
        <v>16020</v>
      </c>
      <c r="J37" s="17">
        <f t="shared" si="0"/>
        <v>14819.6</v>
      </c>
    </row>
    <row r="38" spans="1:10" x14ac:dyDescent="0.2">
      <c r="A38" s="14" t="s">
        <v>57</v>
      </c>
      <c r="B38" s="14" t="str">
        <f>"2025.0034"</f>
        <v>2025.0034</v>
      </c>
      <c r="C38" s="14" t="s">
        <v>59</v>
      </c>
      <c r="D38" s="15">
        <v>45902</v>
      </c>
      <c r="E38" s="16" t="str">
        <f>"1364"</f>
        <v>1364</v>
      </c>
      <c r="F38" s="14" t="s">
        <v>9</v>
      </c>
      <c r="G38" s="14" t="s">
        <v>10</v>
      </c>
      <c r="H38" s="14" t="s">
        <v>11</v>
      </c>
      <c r="I38" s="17">
        <v>9556</v>
      </c>
      <c r="J38" s="17">
        <f t="shared" si="0"/>
        <v>8839.9500000000007</v>
      </c>
    </row>
    <row r="39" spans="1:10" x14ac:dyDescent="0.2">
      <c r="A39" s="14" t="s">
        <v>60</v>
      </c>
      <c r="B39" s="14" t="str">
        <f>"2025.0025"</f>
        <v>2025.0025</v>
      </c>
      <c r="C39" s="14" t="s">
        <v>61</v>
      </c>
      <c r="D39" s="15">
        <v>45831</v>
      </c>
      <c r="E39" s="16" t="str">
        <f>"1022"</f>
        <v>1022</v>
      </c>
      <c r="F39" s="14" t="s">
        <v>9</v>
      </c>
      <c r="G39" s="14" t="s">
        <v>10</v>
      </c>
      <c r="H39" s="14" t="s">
        <v>11</v>
      </c>
      <c r="I39" s="17">
        <v>6812.9</v>
      </c>
      <c r="J39" s="17">
        <f t="shared" si="0"/>
        <v>6302.4</v>
      </c>
    </row>
    <row r="40" spans="1:10" x14ac:dyDescent="0.2">
      <c r="A40" s="14" t="s">
        <v>62</v>
      </c>
      <c r="B40" s="14" t="str">
        <f>"2025.0026"</f>
        <v>2025.0026</v>
      </c>
      <c r="C40" s="14" t="s">
        <v>63</v>
      </c>
      <c r="D40" s="15">
        <v>45747</v>
      </c>
      <c r="E40" s="16" t="str">
        <f>"503"</f>
        <v>503</v>
      </c>
      <c r="F40" s="14" t="s">
        <v>9</v>
      </c>
      <c r="G40" s="14" t="s">
        <v>10</v>
      </c>
      <c r="H40" s="14" t="s">
        <v>11</v>
      </c>
      <c r="I40" s="17">
        <v>52303</v>
      </c>
      <c r="J40" s="17">
        <f t="shared" si="0"/>
        <v>48383.9</v>
      </c>
    </row>
    <row r="41" spans="1:10" x14ac:dyDescent="0.2">
      <c r="A41" s="14" t="s">
        <v>64</v>
      </c>
      <c r="B41" s="14" t="str">
        <f>"2025.0027"</f>
        <v>2025.0027</v>
      </c>
      <c r="C41" s="14" t="s">
        <v>65</v>
      </c>
      <c r="D41" s="15">
        <v>45992</v>
      </c>
      <c r="E41" s="16" t="str">
        <f>"1897"</f>
        <v>1897</v>
      </c>
      <c r="F41" s="14" t="s">
        <v>9</v>
      </c>
      <c r="G41" s="14" t="s">
        <v>10</v>
      </c>
      <c r="H41" s="14" t="s">
        <v>11</v>
      </c>
      <c r="I41" s="17">
        <v>19000</v>
      </c>
      <c r="J41" s="17">
        <f t="shared" si="0"/>
        <v>17576.300000000003</v>
      </c>
    </row>
    <row r="42" spans="1:10" x14ac:dyDescent="0.2">
      <c r="A42" s="14" t="s">
        <v>66</v>
      </c>
      <c r="B42" s="14" t="str">
        <f>"2025.0028"</f>
        <v>2025.0028</v>
      </c>
      <c r="C42" s="14" t="s">
        <v>67</v>
      </c>
      <c r="D42" s="15">
        <v>45719</v>
      </c>
      <c r="E42" s="16" t="str">
        <f>"337"</f>
        <v>337</v>
      </c>
      <c r="F42" s="14" t="s">
        <v>9</v>
      </c>
      <c r="G42" s="14" t="s">
        <v>10</v>
      </c>
      <c r="H42" s="14" t="s">
        <v>124</v>
      </c>
      <c r="I42" s="17">
        <v>22047</v>
      </c>
      <c r="J42" s="17">
        <f t="shared" si="0"/>
        <v>20395</v>
      </c>
    </row>
    <row r="43" spans="1:10" x14ac:dyDescent="0.2">
      <c r="A43" s="14" t="s">
        <v>66</v>
      </c>
      <c r="B43" s="14" t="str">
        <f>"2025.0029"</f>
        <v>2025.0029</v>
      </c>
      <c r="C43" s="14" t="s">
        <v>68</v>
      </c>
      <c r="D43" s="15">
        <v>45789</v>
      </c>
      <c r="E43" s="16" t="str">
        <f>"765"</f>
        <v>765</v>
      </c>
      <c r="F43" s="14" t="s">
        <v>9</v>
      </c>
      <c r="G43" s="14" t="s">
        <v>10</v>
      </c>
      <c r="H43" s="14" t="s">
        <v>124</v>
      </c>
      <c r="I43" s="17">
        <v>94479.4</v>
      </c>
      <c r="J43" s="17">
        <f t="shared" si="0"/>
        <v>87400</v>
      </c>
    </row>
    <row r="44" spans="1:10" x14ac:dyDescent="0.2">
      <c r="A44" s="14" t="s">
        <v>66</v>
      </c>
      <c r="B44" s="14" t="str">
        <f>"2025.0030"</f>
        <v>2025.0030</v>
      </c>
      <c r="C44" s="14" t="s">
        <v>69</v>
      </c>
      <c r="D44" s="15">
        <v>45818</v>
      </c>
      <c r="E44" s="16" t="str">
        <f>"940"</f>
        <v>940</v>
      </c>
      <c r="F44" s="14" t="s">
        <v>9</v>
      </c>
      <c r="G44" s="14" t="s">
        <v>10</v>
      </c>
      <c r="H44" s="14" t="s">
        <v>124</v>
      </c>
      <c r="I44" s="17">
        <v>173268.09</v>
      </c>
      <c r="J44" s="17">
        <f t="shared" si="0"/>
        <v>160285</v>
      </c>
    </row>
    <row r="45" spans="1:10" x14ac:dyDescent="0.2">
      <c r="A45" s="14" t="s">
        <v>66</v>
      </c>
      <c r="B45" s="14" t="str">
        <f>"2025.0031"</f>
        <v>2025.0031</v>
      </c>
      <c r="C45" s="14" t="s">
        <v>70</v>
      </c>
      <c r="D45" s="15">
        <v>45936</v>
      </c>
      <c r="E45" s="16" t="str">
        <f>"1569"</f>
        <v>1569</v>
      </c>
      <c r="F45" s="14" t="s">
        <v>9</v>
      </c>
      <c r="G45" s="14" t="s">
        <v>10</v>
      </c>
      <c r="H45" s="14" t="s">
        <v>124</v>
      </c>
      <c r="I45" s="17">
        <v>9882.5</v>
      </c>
      <c r="J45" s="17">
        <f t="shared" si="0"/>
        <v>9142</v>
      </c>
    </row>
    <row r="46" spans="1:10" x14ac:dyDescent="0.2">
      <c r="A46" s="14" t="s">
        <v>66</v>
      </c>
      <c r="B46" s="14" t="str">
        <f>"2025.0032"</f>
        <v>2025.0032</v>
      </c>
      <c r="C46" s="14" t="s">
        <v>71</v>
      </c>
      <c r="D46" s="15">
        <v>45936</v>
      </c>
      <c r="E46" s="16" t="str">
        <f>"1567"</f>
        <v>1567</v>
      </c>
      <c r="F46" s="14" t="s">
        <v>9</v>
      </c>
      <c r="G46" s="14" t="s">
        <v>10</v>
      </c>
      <c r="H46" s="14" t="s">
        <v>124</v>
      </c>
      <c r="I46" s="17">
        <v>48839.6</v>
      </c>
      <c r="J46" s="17">
        <f t="shared" si="0"/>
        <v>45180</v>
      </c>
    </row>
    <row r="47" spans="1:10" x14ac:dyDescent="0.2">
      <c r="A47" s="14" t="s">
        <v>66</v>
      </c>
      <c r="B47" s="14" t="str">
        <f>"2025.0033"</f>
        <v>2025.0033</v>
      </c>
      <c r="C47" s="14" t="s">
        <v>72</v>
      </c>
      <c r="D47" s="15">
        <v>45957</v>
      </c>
      <c r="E47" s="16" t="str">
        <f>"1656"</f>
        <v>1656</v>
      </c>
      <c r="F47" s="14" t="s">
        <v>9</v>
      </c>
      <c r="G47" s="14" t="s">
        <v>10</v>
      </c>
      <c r="H47" s="14" t="s">
        <v>124</v>
      </c>
      <c r="I47" s="17">
        <v>32792.15</v>
      </c>
      <c r="J47" s="17">
        <f t="shared" si="0"/>
        <v>30335</v>
      </c>
    </row>
    <row r="48" spans="1:10" x14ac:dyDescent="0.2">
      <c r="A48" s="14" t="s">
        <v>66</v>
      </c>
      <c r="B48" s="14" t="str">
        <f>"2025.0070"</f>
        <v>2025.0070</v>
      </c>
      <c r="C48" s="14" t="s">
        <v>73</v>
      </c>
      <c r="D48" s="15">
        <v>45930</v>
      </c>
      <c r="E48" s="16" t="str">
        <f>"UTC"</f>
        <v>UTC</v>
      </c>
      <c r="F48" s="14" t="s">
        <v>9</v>
      </c>
      <c r="G48" s="14" t="s">
        <v>10</v>
      </c>
      <c r="H48" s="14" t="s">
        <v>124</v>
      </c>
      <c r="I48" s="17">
        <v>21211.81</v>
      </c>
      <c r="J48" s="17">
        <f t="shared" si="0"/>
        <v>19622.400000000001</v>
      </c>
    </row>
    <row r="49" spans="1:10" x14ac:dyDescent="0.2">
      <c r="A49" s="14" t="s">
        <v>74</v>
      </c>
      <c r="B49" s="14" t="str">
        <f>"2025.0035"</f>
        <v>2025.0035</v>
      </c>
      <c r="C49" s="14" t="s">
        <v>75</v>
      </c>
      <c r="D49" s="15">
        <v>45873</v>
      </c>
      <c r="E49" s="16" t="str">
        <f>"1223"</f>
        <v>1223</v>
      </c>
      <c r="F49" s="14" t="s">
        <v>9</v>
      </c>
      <c r="G49" s="14" t="s">
        <v>10</v>
      </c>
      <c r="H49" s="14" t="s">
        <v>21</v>
      </c>
      <c r="I49" s="17">
        <v>5864.15</v>
      </c>
      <c r="J49" s="17">
        <f t="shared" si="0"/>
        <v>5424.75</v>
      </c>
    </row>
    <row r="50" spans="1:10" x14ac:dyDescent="0.2">
      <c r="A50" s="14" t="s">
        <v>76</v>
      </c>
      <c r="B50" s="14" t="str">
        <f>"2025.0036"</f>
        <v>2025.0036</v>
      </c>
      <c r="C50" s="14" t="s">
        <v>77</v>
      </c>
      <c r="D50" s="15">
        <v>45859</v>
      </c>
      <c r="E50" s="16" t="str">
        <f>"1156"</f>
        <v>1156</v>
      </c>
      <c r="F50" s="14" t="s">
        <v>9</v>
      </c>
      <c r="G50" s="14" t="s">
        <v>10</v>
      </c>
      <c r="H50" s="14" t="s">
        <v>11</v>
      </c>
      <c r="I50" s="17">
        <v>56000</v>
      </c>
      <c r="J50" s="17">
        <f t="shared" si="0"/>
        <v>51803.9</v>
      </c>
    </row>
    <row r="51" spans="1:10" x14ac:dyDescent="0.2">
      <c r="A51" s="14" t="s">
        <v>78</v>
      </c>
      <c r="B51" s="14" t="str">
        <f>"2025.0037"</f>
        <v>2025.0037</v>
      </c>
      <c r="C51" s="14" t="s">
        <v>79</v>
      </c>
      <c r="D51" s="15">
        <v>45838</v>
      </c>
      <c r="E51" s="16" t="str">
        <f>"1047"</f>
        <v>1047</v>
      </c>
      <c r="F51" s="14" t="s">
        <v>9</v>
      </c>
      <c r="G51" s="14" t="s">
        <v>10</v>
      </c>
      <c r="H51" s="14" t="s">
        <v>21</v>
      </c>
      <c r="I51" s="17">
        <v>15560</v>
      </c>
      <c r="J51" s="17">
        <f t="shared" si="0"/>
        <v>14394.1</v>
      </c>
    </row>
    <row r="52" spans="1:10" x14ac:dyDescent="0.2">
      <c r="A52" s="14" t="s">
        <v>78</v>
      </c>
      <c r="B52" s="14" t="str">
        <f>"2025.0038"</f>
        <v>2025.0038</v>
      </c>
      <c r="C52" s="14" t="s">
        <v>80</v>
      </c>
      <c r="D52" s="15">
        <v>45838</v>
      </c>
      <c r="E52" s="16" t="str">
        <f>"1046"</f>
        <v>1046</v>
      </c>
      <c r="F52" s="14" t="s">
        <v>9</v>
      </c>
      <c r="G52" s="14" t="s">
        <v>10</v>
      </c>
      <c r="H52" s="14" t="s">
        <v>21</v>
      </c>
      <c r="I52" s="17">
        <v>21000</v>
      </c>
      <c r="J52" s="17">
        <f t="shared" si="0"/>
        <v>19426.45</v>
      </c>
    </row>
    <row r="53" spans="1:10" x14ac:dyDescent="0.2">
      <c r="A53" s="14" t="s">
        <v>78</v>
      </c>
      <c r="B53" s="14" t="str">
        <f>"2025.0039"</f>
        <v>2025.0039</v>
      </c>
      <c r="C53" s="14" t="s">
        <v>81</v>
      </c>
      <c r="D53" s="15">
        <v>45992</v>
      </c>
      <c r="E53" s="16" t="str">
        <f>"1898"</f>
        <v>1898</v>
      </c>
      <c r="F53" s="14" t="s">
        <v>9</v>
      </c>
      <c r="G53" s="14" t="s">
        <v>10</v>
      </c>
      <c r="H53" s="14" t="s">
        <v>21</v>
      </c>
      <c r="I53" s="17">
        <v>6886</v>
      </c>
      <c r="J53" s="17">
        <f t="shared" si="0"/>
        <v>6370.05</v>
      </c>
    </row>
    <row r="54" spans="1:10" x14ac:dyDescent="0.2">
      <c r="A54" s="14" t="s">
        <v>82</v>
      </c>
      <c r="B54" s="14" t="str">
        <f>"2025.0040"</f>
        <v>2025.0040</v>
      </c>
      <c r="C54" s="14" t="s">
        <v>83</v>
      </c>
      <c r="D54" s="15">
        <v>45769</v>
      </c>
      <c r="E54" s="16" t="str">
        <f>"623"</f>
        <v>623</v>
      </c>
      <c r="F54" s="14" t="s">
        <v>9</v>
      </c>
      <c r="G54" s="14" t="s">
        <v>10</v>
      </c>
      <c r="H54" s="14" t="s">
        <v>11</v>
      </c>
      <c r="I54" s="17">
        <v>20738</v>
      </c>
      <c r="J54" s="17">
        <f t="shared" si="0"/>
        <v>19184.100000000002</v>
      </c>
    </row>
    <row r="55" spans="1:10" x14ac:dyDescent="0.2">
      <c r="A55" s="14" t="s">
        <v>84</v>
      </c>
      <c r="B55" s="14" t="str">
        <f>"2025.0041"</f>
        <v>2025.0041</v>
      </c>
      <c r="C55" s="14" t="s">
        <v>85</v>
      </c>
      <c r="D55" s="15">
        <v>45691</v>
      </c>
      <c r="E55" s="16" t="str">
        <f>"130"</f>
        <v>130</v>
      </c>
      <c r="F55" s="14" t="s">
        <v>9</v>
      </c>
      <c r="G55" s="14" t="s">
        <v>10</v>
      </c>
      <c r="H55" s="14" t="s">
        <v>21</v>
      </c>
      <c r="I55" s="17">
        <v>26078.6</v>
      </c>
      <c r="J55" s="17">
        <f t="shared" si="0"/>
        <v>24124.5</v>
      </c>
    </row>
    <row r="56" spans="1:10" x14ac:dyDescent="0.2">
      <c r="A56" s="14" t="s">
        <v>84</v>
      </c>
      <c r="B56" s="14" t="str">
        <f>"2025.0042"</f>
        <v>2025.0042</v>
      </c>
      <c r="C56" s="14" t="s">
        <v>86</v>
      </c>
      <c r="D56" s="15">
        <v>45838</v>
      </c>
      <c r="E56" s="16" t="str">
        <f>"1055"</f>
        <v>1055</v>
      </c>
      <c r="F56" s="14" t="s">
        <v>9</v>
      </c>
      <c r="G56" s="14" t="s">
        <v>10</v>
      </c>
      <c r="H56" s="14" t="s">
        <v>21</v>
      </c>
      <c r="I56" s="17">
        <v>6479.5</v>
      </c>
      <c r="J56" s="17">
        <f t="shared" si="0"/>
        <v>5994</v>
      </c>
    </row>
    <row r="57" spans="1:10" x14ac:dyDescent="0.2">
      <c r="A57" s="14" t="s">
        <v>87</v>
      </c>
      <c r="B57" s="14" t="str">
        <f>"2025.0043"</f>
        <v>2025.0043</v>
      </c>
      <c r="C57" s="14" t="s">
        <v>88</v>
      </c>
      <c r="D57" s="15">
        <v>45691</v>
      </c>
      <c r="E57" s="16" t="str">
        <f>"159"</f>
        <v>159</v>
      </c>
      <c r="F57" s="14" t="s">
        <v>9</v>
      </c>
      <c r="G57" s="14" t="s">
        <v>10</v>
      </c>
      <c r="H57" s="14" t="s">
        <v>123</v>
      </c>
      <c r="I57" s="17">
        <v>7100</v>
      </c>
      <c r="J57" s="17">
        <f t="shared" si="0"/>
        <v>6568</v>
      </c>
    </row>
    <row r="58" spans="1:10" x14ac:dyDescent="0.2">
      <c r="A58" s="14" t="s">
        <v>87</v>
      </c>
      <c r="B58" s="14" t="str">
        <f>"2025.0044"</f>
        <v>2025.0044</v>
      </c>
      <c r="C58" s="14" t="s">
        <v>89</v>
      </c>
      <c r="D58" s="15">
        <v>45810</v>
      </c>
      <c r="E58" s="16" t="str">
        <f>"882"</f>
        <v>882</v>
      </c>
      <c r="F58" s="14" t="s">
        <v>9</v>
      </c>
      <c r="G58" s="14" t="s">
        <v>10</v>
      </c>
      <c r="H58" s="14" t="s">
        <v>123</v>
      </c>
      <c r="I58" s="17">
        <v>9500</v>
      </c>
      <c r="J58" s="17">
        <f t="shared" si="0"/>
        <v>8788.1500000000015</v>
      </c>
    </row>
    <row r="59" spans="1:10" x14ac:dyDescent="0.2">
      <c r="A59" s="14" t="s">
        <v>87</v>
      </c>
      <c r="B59" s="14" t="str">
        <f>"2025.0045"</f>
        <v>2025.0045</v>
      </c>
      <c r="C59" s="14" t="s">
        <v>90</v>
      </c>
      <c r="D59" s="15">
        <v>45810</v>
      </c>
      <c r="E59" s="16" t="str">
        <f>"882"</f>
        <v>882</v>
      </c>
      <c r="F59" s="14" t="s">
        <v>9</v>
      </c>
      <c r="G59" s="14" t="s">
        <v>10</v>
      </c>
      <c r="H59" s="14" t="s">
        <v>123</v>
      </c>
      <c r="I59" s="17">
        <v>19500</v>
      </c>
      <c r="J59" s="17">
        <f t="shared" si="0"/>
        <v>18038.849999999999</v>
      </c>
    </row>
    <row r="60" spans="1:10" x14ac:dyDescent="0.2">
      <c r="A60" s="14" t="s">
        <v>91</v>
      </c>
      <c r="B60" s="14" t="str">
        <f>"2025.0046"</f>
        <v>2025.0046</v>
      </c>
      <c r="C60" s="14" t="s">
        <v>92</v>
      </c>
      <c r="D60" s="15">
        <v>45831</v>
      </c>
      <c r="E60" s="16" t="str">
        <f>"1010"</f>
        <v>1010</v>
      </c>
      <c r="F60" s="14" t="s">
        <v>9</v>
      </c>
      <c r="G60" s="14" t="s">
        <v>10</v>
      </c>
      <c r="H60" s="14" t="s">
        <v>123</v>
      </c>
      <c r="I60" s="17">
        <v>9838.6</v>
      </c>
      <c r="J60" s="17">
        <f t="shared" si="0"/>
        <v>9101.4</v>
      </c>
    </row>
    <row r="61" spans="1:10" x14ac:dyDescent="0.2">
      <c r="A61" s="14" t="s">
        <v>91</v>
      </c>
      <c r="B61" s="14" t="str">
        <f>"2025.0047"</f>
        <v>2025.0047</v>
      </c>
      <c r="C61" s="14" t="s">
        <v>93</v>
      </c>
      <c r="D61" s="15">
        <v>45859</v>
      </c>
      <c r="E61" s="16" t="str">
        <f>"1154"</f>
        <v>1154</v>
      </c>
      <c r="F61" s="14" t="s">
        <v>9</v>
      </c>
      <c r="G61" s="14" t="s">
        <v>10</v>
      </c>
      <c r="H61" s="14" t="s">
        <v>123</v>
      </c>
      <c r="I61" s="17">
        <v>12388.25</v>
      </c>
      <c r="J61" s="17">
        <f t="shared" si="0"/>
        <v>11460</v>
      </c>
    </row>
    <row r="62" spans="1:10" x14ac:dyDescent="0.2">
      <c r="A62" s="14" t="s">
        <v>94</v>
      </c>
      <c r="B62" s="14" t="str">
        <f>"2025.0048"</f>
        <v>2025.0048</v>
      </c>
      <c r="C62" s="14" t="s">
        <v>95</v>
      </c>
      <c r="D62" s="15">
        <v>45754</v>
      </c>
      <c r="E62" s="16" t="str">
        <f>"546"</f>
        <v>546</v>
      </c>
      <c r="F62" s="14" t="s">
        <v>9</v>
      </c>
      <c r="G62" s="14" t="s">
        <v>10</v>
      </c>
      <c r="H62" s="14" t="s">
        <v>123</v>
      </c>
      <c r="I62" s="17">
        <v>11288</v>
      </c>
      <c r="J62" s="17">
        <f t="shared" si="0"/>
        <v>10442.200000000001</v>
      </c>
    </row>
    <row r="63" spans="1:10" x14ac:dyDescent="0.2">
      <c r="A63" s="14" t="s">
        <v>94</v>
      </c>
      <c r="B63" s="14" t="str">
        <f>"2025.0049"</f>
        <v>2025.0049</v>
      </c>
      <c r="C63" s="14" t="s">
        <v>96</v>
      </c>
      <c r="D63" s="15">
        <v>46022</v>
      </c>
      <c r="E63" s="16" t="str">
        <f>"940"</f>
        <v>940</v>
      </c>
      <c r="F63" s="14" t="s">
        <v>9</v>
      </c>
      <c r="G63" s="14" t="s">
        <v>10</v>
      </c>
      <c r="H63" s="14" t="s">
        <v>124</v>
      </c>
      <c r="I63" s="17">
        <v>21390.85</v>
      </c>
      <c r="J63" s="17">
        <f t="shared" si="0"/>
        <v>19788</v>
      </c>
    </row>
    <row r="64" spans="1:10" x14ac:dyDescent="0.2">
      <c r="A64" s="14" t="s">
        <v>94</v>
      </c>
      <c r="B64" s="14" t="str">
        <f>"2025.0050"</f>
        <v>2025.0050</v>
      </c>
      <c r="C64" s="14" t="s">
        <v>97</v>
      </c>
      <c r="D64" s="15">
        <v>45936</v>
      </c>
      <c r="E64" s="16" t="str">
        <f>"1568"</f>
        <v>1568</v>
      </c>
      <c r="F64" s="14" t="s">
        <v>9</v>
      </c>
      <c r="G64" s="14" t="s">
        <v>10</v>
      </c>
      <c r="H64" s="14" t="s">
        <v>124</v>
      </c>
      <c r="I64" s="17">
        <v>35997.300000000003</v>
      </c>
      <c r="J64" s="17">
        <f t="shared" si="0"/>
        <v>33300</v>
      </c>
    </row>
    <row r="65" spans="1:10" x14ac:dyDescent="0.2">
      <c r="A65" s="14" t="s">
        <v>98</v>
      </c>
      <c r="B65" s="14" t="str">
        <f>"2025.0051"</f>
        <v>2025.0051</v>
      </c>
      <c r="C65" s="14" t="s">
        <v>99</v>
      </c>
      <c r="D65" s="15">
        <v>45782</v>
      </c>
      <c r="E65" s="16" t="str">
        <f>"722"</f>
        <v>722</v>
      </c>
      <c r="F65" s="14" t="s">
        <v>9</v>
      </c>
      <c r="G65" s="14" t="s">
        <v>10</v>
      </c>
      <c r="H65" s="14" t="s">
        <v>124</v>
      </c>
      <c r="I65" s="17">
        <v>30969.15</v>
      </c>
      <c r="J65" s="17">
        <f t="shared" si="0"/>
        <v>28648.600000000002</v>
      </c>
    </row>
    <row r="66" spans="1:10" x14ac:dyDescent="0.2">
      <c r="A66" s="14" t="s">
        <v>100</v>
      </c>
      <c r="B66" s="14" t="str">
        <f>"2025.0052"</f>
        <v>2025.0052</v>
      </c>
      <c r="C66" s="14" t="s">
        <v>30</v>
      </c>
      <c r="D66" s="15">
        <v>45845</v>
      </c>
      <c r="E66" s="16" t="str">
        <f>"1094"</f>
        <v>1094</v>
      </c>
      <c r="F66" s="14" t="s">
        <v>9</v>
      </c>
      <c r="G66" s="14" t="s">
        <v>10</v>
      </c>
      <c r="H66" s="14" t="s">
        <v>123</v>
      </c>
      <c r="I66" s="17">
        <v>7824.05</v>
      </c>
      <c r="J66" s="17">
        <f t="shared" si="0"/>
        <v>7237.7999999999993</v>
      </c>
    </row>
    <row r="67" spans="1:10" x14ac:dyDescent="0.2">
      <c r="A67" s="14" t="s">
        <v>100</v>
      </c>
      <c r="B67" s="14" t="str">
        <f>"2025.0053"</f>
        <v>2025.0053</v>
      </c>
      <c r="C67" s="14" t="s">
        <v>101</v>
      </c>
      <c r="D67" s="15">
        <v>45992</v>
      </c>
      <c r="E67" s="16" t="str">
        <f>"1854"</f>
        <v>1854</v>
      </c>
      <c r="F67" s="14" t="s">
        <v>9</v>
      </c>
      <c r="G67" s="14" t="s">
        <v>10</v>
      </c>
      <c r="H67" s="14" t="s">
        <v>123</v>
      </c>
      <c r="I67" s="17">
        <v>27030.15</v>
      </c>
      <c r="J67" s="17">
        <f t="shared" si="0"/>
        <v>25004.75</v>
      </c>
    </row>
    <row r="68" spans="1:10" x14ac:dyDescent="0.2">
      <c r="A68" s="14" t="s">
        <v>102</v>
      </c>
      <c r="B68" s="14" t="str">
        <f>"2025.0054"</f>
        <v>2025.0054</v>
      </c>
      <c r="C68" s="14" t="s">
        <v>103</v>
      </c>
      <c r="D68" s="15">
        <v>45754</v>
      </c>
      <c r="E68" s="16" t="str">
        <f>"564"</f>
        <v>564</v>
      </c>
      <c r="F68" s="14" t="s">
        <v>9</v>
      </c>
      <c r="G68" s="14" t="s">
        <v>10</v>
      </c>
      <c r="H68" s="14" t="s">
        <v>21</v>
      </c>
      <c r="I68" s="17">
        <v>68805.53</v>
      </c>
      <c r="J68" s="17">
        <f t="shared" si="0"/>
        <v>63649.899999999994</v>
      </c>
    </row>
    <row r="69" spans="1:10" x14ac:dyDescent="0.2">
      <c r="A69" s="14" t="s">
        <v>102</v>
      </c>
      <c r="B69" s="14" t="str">
        <f>"2025.0073"</f>
        <v>2025.0073</v>
      </c>
      <c r="C69" s="14" t="s">
        <v>104</v>
      </c>
      <c r="D69" s="15">
        <v>45805</v>
      </c>
      <c r="E69" s="16" t="str">
        <f>"UTC"</f>
        <v>UTC</v>
      </c>
      <c r="F69" s="14" t="s">
        <v>9</v>
      </c>
      <c r="G69" s="14" t="s">
        <v>10</v>
      </c>
      <c r="H69" s="14" t="s">
        <v>21</v>
      </c>
      <c r="I69" s="17">
        <v>6643.67</v>
      </c>
      <c r="J69" s="17">
        <f t="shared" si="0"/>
        <v>6145.85</v>
      </c>
    </row>
    <row r="70" spans="1:10" x14ac:dyDescent="0.2">
      <c r="A70" s="14" t="s">
        <v>105</v>
      </c>
      <c r="B70" s="14" t="str">
        <f>"2025.0055"</f>
        <v>2025.0055</v>
      </c>
      <c r="C70" s="14" t="s">
        <v>106</v>
      </c>
      <c r="D70" s="15">
        <v>45726</v>
      </c>
      <c r="E70" s="16" t="str">
        <f>"370"</f>
        <v>370</v>
      </c>
      <c r="F70" s="14" t="s">
        <v>9</v>
      </c>
      <c r="G70" s="14" t="s">
        <v>10</v>
      </c>
      <c r="H70" s="14" t="s">
        <v>11</v>
      </c>
      <c r="I70" s="17">
        <v>71275.25</v>
      </c>
      <c r="J70" s="17">
        <f t="shared" si="0"/>
        <v>65934.55</v>
      </c>
    </row>
    <row r="71" spans="1:10" x14ac:dyDescent="0.2">
      <c r="A71" s="14" t="s">
        <v>107</v>
      </c>
      <c r="B71" s="14" t="str">
        <f>"2025.0056"</f>
        <v>2025.0056</v>
      </c>
      <c r="C71" s="14" t="s">
        <v>108</v>
      </c>
      <c r="D71" s="15">
        <v>45754</v>
      </c>
      <c r="E71" s="16" t="str">
        <f>"549"</f>
        <v>549</v>
      </c>
      <c r="F71" s="14" t="s">
        <v>9</v>
      </c>
      <c r="G71" s="14" t="s">
        <v>10</v>
      </c>
      <c r="H71" s="14" t="s">
        <v>21</v>
      </c>
      <c r="I71" s="17">
        <v>10849.95</v>
      </c>
      <c r="J71" s="17">
        <f t="shared" si="0"/>
        <v>10036.950000000001</v>
      </c>
    </row>
    <row r="72" spans="1:10" x14ac:dyDescent="0.2">
      <c r="A72" s="14" t="s">
        <v>107</v>
      </c>
      <c r="B72" s="14" t="str">
        <f>"2025.0057"</f>
        <v>2025.0057</v>
      </c>
      <c r="C72" s="14" t="s">
        <v>109</v>
      </c>
      <c r="D72" s="15">
        <v>45775</v>
      </c>
      <c r="E72" s="16" t="str">
        <f>"686"</f>
        <v>686</v>
      </c>
      <c r="F72" s="14" t="s">
        <v>9</v>
      </c>
      <c r="G72" s="14" t="s">
        <v>10</v>
      </c>
      <c r="H72" s="14" t="s">
        <v>21</v>
      </c>
      <c r="I72" s="17">
        <v>6986.5</v>
      </c>
      <c r="J72" s="17">
        <f t="shared" si="0"/>
        <v>6463</v>
      </c>
    </row>
    <row r="73" spans="1:10" x14ac:dyDescent="0.2">
      <c r="A73" s="14" t="s">
        <v>107</v>
      </c>
      <c r="B73" s="14" t="str">
        <f>"2025.0063"</f>
        <v>2025.0063</v>
      </c>
      <c r="C73" s="14" t="s">
        <v>110</v>
      </c>
      <c r="D73" s="15">
        <v>45929</v>
      </c>
      <c r="E73" s="16" t="str">
        <f>"1502"</f>
        <v>1502</v>
      </c>
      <c r="F73" s="14" t="s">
        <v>9</v>
      </c>
      <c r="G73" s="14" t="s">
        <v>10</v>
      </c>
      <c r="H73" s="14" t="s">
        <v>21</v>
      </c>
      <c r="I73" s="17">
        <v>27363.95</v>
      </c>
      <c r="J73" s="17">
        <f t="shared" ref="J73:J79" si="1">ROUND(I73*100/108.1/5,2)*5</f>
        <v>25313.55</v>
      </c>
    </row>
    <row r="74" spans="1:10" x14ac:dyDescent="0.2">
      <c r="A74" s="14" t="s">
        <v>111</v>
      </c>
      <c r="B74" s="14" t="str">
        <f>"2025.0058"</f>
        <v>2025.0058</v>
      </c>
      <c r="C74" s="14" t="s">
        <v>112</v>
      </c>
      <c r="D74" s="15">
        <v>45964</v>
      </c>
      <c r="E74" s="16" t="str">
        <f>"1699"</f>
        <v>1699</v>
      </c>
      <c r="F74" s="14" t="s">
        <v>9</v>
      </c>
      <c r="G74" s="14" t="s">
        <v>10</v>
      </c>
      <c r="H74" s="14" t="s">
        <v>21</v>
      </c>
      <c r="I74" s="17">
        <v>6351.2</v>
      </c>
      <c r="J74" s="17">
        <f t="shared" si="1"/>
        <v>5875.2999999999993</v>
      </c>
    </row>
    <row r="75" spans="1:10" x14ac:dyDescent="0.2">
      <c r="A75" s="14" t="s">
        <v>113</v>
      </c>
      <c r="B75" s="14" t="str">
        <f>"2025.0059"</f>
        <v>2025.0059</v>
      </c>
      <c r="C75" s="14" t="s">
        <v>114</v>
      </c>
      <c r="D75" s="15">
        <v>45803</v>
      </c>
      <c r="E75" s="16" t="str">
        <f>"837"</f>
        <v>837</v>
      </c>
      <c r="F75" s="14" t="s">
        <v>9</v>
      </c>
      <c r="G75" s="14" t="s">
        <v>10</v>
      </c>
      <c r="H75" s="14" t="s">
        <v>21</v>
      </c>
      <c r="I75" s="17">
        <v>5610</v>
      </c>
      <c r="J75" s="17">
        <f t="shared" si="1"/>
        <v>5189.6500000000005</v>
      </c>
    </row>
    <row r="76" spans="1:10" x14ac:dyDescent="0.2">
      <c r="A76" s="14" t="s">
        <v>113</v>
      </c>
      <c r="B76" s="14" t="str">
        <f>"2025.0060"</f>
        <v>2025.0060</v>
      </c>
      <c r="C76" s="14" t="s">
        <v>115</v>
      </c>
      <c r="D76" s="15">
        <v>45915</v>
      </c>
      <c r="E76" s="16" t="str">
        <f>"1420"</f>
        <v>1420</v>
      </c>
      <c r="F76" s="14" t="s">
        <v>9</v>
      </c>
      <c r="G76" s="14" t="s">
        <v>10</v>
      </c>
      <c r="H76" s="14" t="s">
        <v>21</v>
      </c>
      <c r="I76" s="17">
        <v>25295.45</v>
      </c>
      <c r="J76" s="17">
        <f t="shared" si="1"/>
        <v>23400.050000000003</v>
      </c>
    </row>
    <row r="77" spans="1:10" x14ac:dyDescent="0.2">
      <c r="A77" s="14" t="s">
        <v>113</v>
      </c>
      <c r="B77" s="14" t="str">
        <f>"2025.0068"</f>
        <v>2025.0068</v>
      </c>
      <c r="C77" s="14" t="s">
        <v>116</v>
      </c>
      <c r="D77" s="15">
        <v>45803</v>
      </c>
      <c r="E77" s="16" t="str">
        <f>"837"</f>
        <v>837</v>
      </c>
      <c r="F77" s="14" t="s">
        <v>9</v>
      </c>
      <c r="G77" s="14" t="s">
        <v>10</v>
      </c>
      <c r="H77" s="14" t="s">
        <v>21</v>
      </c>
      <c r="I77" s="17">
        <v>6095.75</v>
      </c>
      <c r="J77" s="17">
        <f t="shared" si="1"/>
        <v>5639</v>
      </c>
    </row>
    <row r="78" spans="1:10" x14ac:dyDescent="0.2">
      <c r="A78" s="14" t="s">
        <v>117</v>
      </c>
      <c r="B78" s="14" t="str">
        <f>"2025.0061"</f>
        <v>2025.0061</v>
      </c>
      <c r="C78" s="14" t="s">
        <v>118</v>
      </c>
      <c r="D78" s="15">
        <v>45705</v>
      </c>
      <c r="E78" s="16" t="str">
        <f>"249"</f>
        <v>249</v>
      </c>
      <c r="F78" s="14" t="s">
        <v>9</v>
      </c>
      <c r="G78" s="14" t="s">
        <v>10</v>
      </c>
      <c r="H78" s="14" t="s">
        <v>11</v>
      </c>
      <c r="I78" s="17">
        <v>37690</v>
      </c>
      <c r="J78" s="17">
        <f t="shared" si="1"/>
        <v>34865.85</v>
      </c>
    </row>
    <row r="79" spans="1:10" x14ac:dyDescent="0.2">
      <c r="A79" s="14" t="s">
        <v>117</v>
      </c>
      <c r="B79" s="14" t="str">
        <f>"2025.0062"</f>
        <v>2025.0062</v>
      </c>
      <c r="C79" s="14" t="s">
        <v>119</v>
      </c>
      <c r="D79" s="15">
        <v>45747</v>
      </c>
      <c r="E79" s="16" t="str">
        <f>"505"</f>
        <v>505</v>
      </c>
      <c r="F79" s="14" t="s">
        <v>9</v>
      </c>
      <c r="G79" s="14" t="s">
        <v>10</v>
      </c>
      <c r="H79" s="14" t="s">
        <v>11</v>
      </c>
      <c r="I79" s="17">
        <v>7800</v>
      </c>
      <c r="J79" s="17">
        <f t="shared" si="1"/>
        <v>7215.5499999999993</v>
      </c>
    </row>
  </sheetData>
  <mergeCells count="1">
    <mergeCell ref="I6:J6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Lista_commesse_1_2025</vt:lpstr>
      <vt:lpstr>Lista_commesse_1_2025!Titoli_stampa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Perli</dc:creator>
  <cp:lastModifiedBy>Utente di Microsoft Office</cp:lastModifiedBy>
  <cp:lastPrinted>2026-06-11T09:27:09Z</cp:lastPrinted>
  <dcterms:created xsi:type="dcterms:W3CDTF">2026-06-11T09:36:17Z</dcterms:created>
  <dcterms:modified xsi:type="dcterms:W3CDTF">2026-06-18T13:52:53Z</dcterms:modified>
</cp:coreProperties>
</file>